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235" windowHeight="7740" activeTab="1"/>
  </bookViews>
  <sheets>
    <sheet name="1" sheetId="5" r:id="rId1"/>
    <sheet name="смета 2016" sheetId="1" r:id="rId2"/>
    <sheet name="смета 2017" sheetId="2" r:id="rId3"/>
    <sheet name="2" sheetId="3" r:id="rId4"/>
    <sheet name="Лист4" sheetId="4" r:id="rId5"/>
  </sheets>
  <definedNames>
    <definedName name="_xlnm.Print_Area" localSheetId="0">'1'!#REF!</definedName>
    <definedName name="_xlnm.Print_Area" localSheetId="1">'смета 2016'!$A$1:$J$93</definedName>
  </definedNames>
  <calcPr calcId="114210"/>
</workbook>
</file>

<file path=xl/calcChain.xml><?xml version="1.0" encoding="utf-8"?>
<calcChain xmlns="http://schemas.openxmlformats.org/spreadsheetml/2006/main">
  <c r="D32" i="2"/>
  <c r="D48"/>
  <c r="D7"/>
  <c r="D8"/>
  <c r="D9"/>
  <c r="D10"/>
  <c r="D11"/>
  <c r="D6"/>
  <c r="D21"/>
  <c r="D20"/>
  <c r="I45" i="1"/>
  <c r="I46"/>
  <c r="I47"/>
  <c r="I48"/>
  <c r="I49"/>
  <c r="I50"/>
  <c r="D29"/>
  <c r="D30"/>
  <c r="I15"/>
  <c r="I13"/>
  <c r="J13"/>
  <c r="I10"/>
  <c r="J10"/>
  <c r="I11"/>
  <c r="J11"/>
  <c r="I12"/>
  <c r="J12"/>
  <c r="I14"/>
  <c r="I16"/>
  <c r="I17"/>
  <c r="J17"/>
  <c r="I9"/>
  <c r="J9"/>
  <c r="H15"/>
  <c r="H10"/>
  <c r="H11"/>
  <c r="H12"/>
  <c r="H13"/>
  <c r="H14"/>
  <c r="H16"/>
  <c r="H17"/>
  <c r="D15"/>
  <c r="J15"/>
  <c r="H9"/>
  <c r="G17"/>
  <c r="G13"/>
  <c r="G12"/>
  <c r="G11"/>
  <c r="G10"/>
  <c r="G9"/>
  <c r="D17"/>
  <c r="D16"/>
  <c r="J16"/>
  <c r="D14"/>
  <c r="J14"/>
  <c r="D13"/>
  <c r="D12"/>
  <c r="D11"/>
  <c r="D10"/>
  <c r="D9"/>
  <c r="G16"/>
  <c r="G15"/>
  <c r="G14"/>
  <c r="D22" i="2"/>
  <c r="D12"/>
  <c r="H18" i="1"/>
  <c r="I18"/>
  <c r="J18"/>
  <c r="G18"/>
  <c r="D18"/>
  <c r="D24" i="2"/>
  <c r="B51"/>
  <c r="H20" i="1"/>
  <c r="I33"/>
  <c r="H19"/>
  <c r="H21"/>
  <c r="B52" i="2"/>
  <c r="B53"/>
  <c r="B55"/>
  <c r="B57"/>
  <c r="D60" i="1"/>
  <c r="D31"/>
  <c r="I34"/>
  <c r="C63"/>
  <c r="C64"/>
  <c r="B63"/>
  <c r="B64"/>
  <c r="I35"/>
  <c r="D63"/>
  <c r="D64"/>
  <c r="D65"/>
  <c r="D68"/>
  <c r="D70"/>
  <c r="B65"/>
  <c r="B68"/>
  <c r="B70"/>
  <c r="C65"/>
  <c r="C68"/>
  <c r="C70"/>
</calcChain>
</file>

<file path=xl/sharedStrings.xml><?xml version="1.0" encoding="utf-8"?>
<sst xmlns="http://schemas.openxmlformats.org/spreadsheetml/2006/main" count="168" uniqueCount="107">
  <si>
    <t>Смета на 2016 год</t>
  </si>
  <si>
    <t xml:space="preserve">Приложение № </t>
  </si>
  <si>
    <t>1. Фонд оплаты труда</t>
  </si>
  <si>
    <t>нач. электрохозяйства</t>
  </si>
  <si>
    <t>бухгалтер</t>
  </si>
  <si>
    <t>кассир-бухгалтер</t>
  </si>
  <si>
    <t>электрик</t>
  </si>
  <si>
    <t>сторож</t>
  </si>
  <si>
    <t>сторож подменный</t>
  </si>
  <si>
    <t>доплата старшему сторожу</t>
  </si>
  <si>
    <t>дворник</t>
  </si>
  <si>
    <t>итого</t>
  </si>
  <si>
    <t>Председатель</t>
  </si>
  <si>
    <t>количество ставок</t>
  </si>
  <si>
    <t>оклад с 01.07.16</t>
  </si>
  <si>
    <t>годовой расход с начислениями</t>
  </si>
  <si>
    <t>расход с учетом начислений по ставке 20,2%</t>
  </si>
  <si>
    <t>примечания:</t>
  </si>
  <si>
    <t>Таблица №1</t>
  </si>
  <si>
    <t>2. Оплата по договору с охранной организацией "ХАРОН"</t>
  </si>
  <si>
    <t>Расположение поста</t>
  </si>
  <si>
    <t>количество сотр.</t>
  </si>
  <si>
    <t>ставка, день</t>
  </si>
  <si>
    <t>сумма за 2 п/г 2016г.</t>
  </si>
  <si>
    <t>В помещении Правления (с машиной)</t>
  </si>
  <si>
    <t>В сторожках на въездах</t>
  </si>
  <si>
    <t>ИТОГО</t>
  </si>
  <si>
    <t>Таблица №2</t>
  </si>
  <si>
    <t>Вариант 1</t>
  </si>
  <si>
    <t>Вариант 2</t>
  </si>
  <si>
    <t>РАЗДЕЛ 1</t>
  </si>
  <si>
    <t>РАЗДЕЛ 2</t>
  </si>
  <si>
    <t>Статьи расходов</t>
  </si>
  <si>
    <t>Вывоз мусора</t>
  </si>
  <si>
    <t>установка шлагбаума на границе с Дружное-4</t>
  </si>
  <si>
    <t>текущее обслуживание ЛЭП (обрезка деревьев)</t>
  </si>
  <si>
    <t>электричество на общесадоводческие нужды</t>
  </si>
  <si>
    <t>текущее обслуживание системы автоматического контроля электроэнергии</t>
  </si>
  <si>
    <t>копирование документов</t>
  </si>
  <si>
    <t>услуги банка</t>
  </si>
  <si>
    <t>услуги связи</t>
  </si>
  <si>
    <t>хоз инвентарь</t>
  </si>
  <si>
    <t>учеба электриков</t>
  </si>
  <si>
    <t>Страхование зданий</t>
  </si>
  <si>
    <t>чистка снега</t>
  </si>
  <si>
    <t>транспортные расходы</t>
  </si>
  <si>
    <t>содержание сайта</t>
  </si>
  <si>
    <t>чистка колодцев, ремонт</t>
  </si>
  <si>
    <t>юридические услуги</t>
  </si>
  <si>
    <t>содержание дорог общего пользования</t>
  </si>
  <si>
    <t>на 2016 год</t>
  </si>
  <si>
    <t>Итого по разделу 2</t>
  </si>
  <si>
    <t>Таблица №3</t>
  </si>
  <si>
    <t>3. Аминистративно-хозяйственные расходы</t>
  </si>
  <si>
    <t>материалы для электрообеспечения</t>
  </si>
  <si>
    <t>Итого по разделам 1 и 2</t>
  </si>
  <si>
    <t>Непредвиденные расходы, 5%</t>
  </si>
  <si>
    <t>Итого с учетом непредвиденных расходов</t>
  </si>
  <si>
    <t>Тревожная кнопка</t>
  </si>
  <si>
    <t>Земельный налог</t>
  </si>
  <si>
    <t>Всего расходы с учетом земмельного налога на земли общего пользования</t>
  </si>
  <si>
    <t>Таблица №4</t>
  </si>
  <si>
    <t>Целевые взносы по предложению Правления:</t>
  </si>
  <si>
    <t>1. продолжение ремонта дорог</t>
  </si>
  <si>
    <t>2. продолжение работ по формированию автоматизированной системы контроля потребления электроэнергии</t>
  </si>
  <si>
    <t>количество участков</t>
  </si>
  <si>
    <t>взнос с 1 участка</t>
  </si>
  <si>
    <t>Смета на 2017 год</t>
  </si>
  <si>
    <t>1. Заработная плата</t>
  </si>
  <si>
    <t>количество</t>
  </si>
  <si>
    <t>ставка  в месяц</t>
  </si>
  <si>
    <t>годовой расход с учетом налога 20,2</t>
  </si>
  <si>
    <t>председатель</t>
  </si>
  <si>
    <t>9 мес. по ставкам 2015 г.</t>
  </si>
  <si>
    <t>4 квартал с индексацией</t>
  </si>
  <si>
    <t>годовой расход со сторожами без индексации</t>
  </si>
  <si>
    <t>годовой расход без сторожей без индексации</t>
  </si>
  <si>
    <t>годовой расход по штату со сторожами с индексацией</t>
  </si>
  <si>
    <t>Итого за 2016 год</t>
  </si>
  <si>
    <t>со сторожами с индексацией заработной платы</t>
  </si>
  <si>
    <t>без сторожей с индексацией заработной платы</t>
  </si>
  <si>
    <t>без сторожей без индексации заработной платы</t>
  </si>
  <si>
    <t>сумма за 2016г.</t>
  </si>
  <si>
    <t>примечание</t>
  </si>
  <si>
    <t>4 месяца</t>
  </si>
  <si>
    <t>3 месяца</t>
  </si>
  <si>
    <t>индексация окладов с 01.09.16</t>
  </si>
  <si>
    <t>вариант 1</t>
  </si>
  <si>
    <t>вариант 2</t>
  </si>
  <si>
    <t>вариант 3</t>
  </si>
  <si>
    <t>Вариант 3</t>
  </si>
  <si>
    <t>обоснование расчета по мусору</t>
  </si>
  <si>
    <t>количество кубов</t>
  </si>
  <si>
    <t>вывоз 1м3</t>
  </si>
  <si>
    <t>вывоз всего мусора</t>
  </si>
  <si>
    <t>стоимость м3 утилизация</t>
  </si>
  <si>
    <t>утилизация всего месора</t>
  </si>
  <si>
    <t>всего</t>
  </si>
  <si>
    <t>вывоз Мамин</t>
  </si>
  <si>
    <t>1. Фонд оплаты труда по штату</t>
  </si>
  <si>
    <t>ВСЕГО РАСХОДЫ НА ОПЛАТУ ПЕРСОНАЛА И ОХРАНУ:</t>
  </si>
  <si>
    <t>на 2017 год</t>
  </si>
  <si>
    <t>чистка пожарных водоемов</t>
  </si>
  <si>
    <t>прирост к 2016 году</t>
  </si>
  <si>
    <t>4,3%</t>
  </si>
  <si>
    <t>Итоговое предложение по членскому взносу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</si>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</sst>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0"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2"/>
      <charset val="204"/>
    </font>
    <font>
      <b/>
      <sz val="12"/>
      <color indexed="10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1" xfId="0" applyBorder="1"/>
    <xf numFmtId="1" fontId="3" fillId="0" borderId="1" xfId="0" applyNumberFormat="1" applyFont="1" applyBorder="1"/>
    <xf numFmtId="1" fontId="2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4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0" fontId="5" fillId="0" borderId="0" xfId="0" applyFont="1"/>
    <xf numFmtId="0" fontId="7" fillId="0" borderId="0" xfId="0" applyFont="1"/>
    <xf numFmtId="0" fontId="2" fillId="0" borderId="2" xfId="0" applyFont="1" applyBorder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/>
    <xf numFmtId="3" fontId="6" fillId="0" borderId="1" xfId="0" applyNumberFormat="1" applyFont="1" applyBorder="1"/>
    <xf numFmtId="0" fontId="1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1"/>
    <xf numFmtId="0" fontId="12" fillId="0" borderId="1" xfId="0" applyFont="1" applyBorder="1"/>
    <xf numFmtId="43" fontId="11" fillId="0" borderId="1" xfId="2" applyFont="1" applyBorder="1"/>
    <xf numFmtId="1" fontId="11" fillId="0" borderId="0" xfId="0" applyNumberFormat="1" applyFont="1"/>
    <xf numFmtId="0" fontId="11" fillId="0" borderId="0" xfId="0" applyFont="1"/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164" fontId="2" fillId="0" borderId="5" xfId="2" applyNumberFormat="1" applyFont="1" applyBorder="1" applyAlignment="1">
      <alignment horizontal="center" vertical="top" wrapText="1"/>
    </xf>
    <xf numFmtId="1" fontId="3" fillId="0" borderId="0" xfId="0" applyNumberFormat="1" applyFont="1"/>
    <xf numFmtId="0" fontId="3" fillId="0" borderId="0" xfId="0" applyFont="1"/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2" applyNumberFormat="1" applyFont="1" applyBorder="1" applyAlignment="1">
      <alignment horizontal="center" vertical="top" wrapText="1"/>
    </xf>
    <xf numFmtId="1" fontId="3" fillId="0" borderId="2" xfId="0" applyNumberFormat="1" applyFont="1" applyBorder="1"/>
    <xf numFmtId="164" fontId="3" fillId="0" borderId="1" xfId="2" applyNumberFormat="1" applyFont="1" applyBorder="1"/>
    <xf numFmtId="1" fontId="3" fillId="0" borderId="1" xfId="0" applyNumberFormat="1" applyFont="1" applyFill="1" applyBorder="1"/>
    <xf numFmtId="1" fontId="2" fillId="0" borderId="2" xfId="0" applyNumberFormat="1" applyFont="1" applyBorder="1"/>
    <xf numFmtId="1" fontId="2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Fill="1" applyBorder="1"/>
    <xf numFmtId="43" fontId="3" fillId="0" borderId="1" xfId="2" applyFont="1" applyBorder="1"/>
    <xf numFmtId="0" fontId="2" fillId="0" borderId="1" xfId="0" applyFont="1" applyFill="1" applyBorder="1" applyAlignment="1">
      <alignment horizontal="center" vertical="top" wrapText="1"/>
    </xf>
    <xf numFmtId="1" fontId="2" fillId="0" borderId="0" xfId="0" applyNumberFormat="1" applyFont="1" applyBorder="1"/>
    <xf numFmtId="1" fontId="3" fillId="0" borderId="0" xfId="0" applyNumberFormat="1" applyFont="1" applyBorder="1"/>
    <xf numFmtId="3" fontId="3" fillId="0" borderId="0" xfId="0" applyNumberFormat="1" applyFont="1" applyBorder="1"/>
    <xf numFmtId="164" fontId="2" fillId="0" borderId="0" xfId="2" applyNumberFormat="1" applyFont="1" applyBorder="1"/>
    <xf numFmtId="3" fontId="14" fillId="0" borderId="0" xfId="0" applyNumberFormat="1" applyFont="1" applyBorder="1"/>
    <xf numFmtId="1" fontId="3" fillId="0" borderId="1" xfId="0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" fontId="0" fillId="0" borderId="0" xfId="0" applyNumberFormat="1"/>
    <xf numFmtId="3" fontId="0" fillId="0" borderId="1" xfId="0" applyNumberFormat="1" applyFill="1" applyBorder="1"/>
    <xf numFmtId="3" fontId="16" fillId="0" borderId="1" xfId="0" applyNumberFormat="1" applyFont="1" applyBorder="1"/>
    <xf numFmtId="3" fontId="17" fillId="0" borderId="1" xfId="0" applyNumberFormat="1" applyFont="1" applyBorder="1"/>
    <xf numFmtId="0" fontId="18" fillId="0" borderId="0" xfId="0" applyFont="1"/>
    <xf numFmtId="3" fontId="7" fillId="0" borderId="0" xfId="0" applyNumberFormat="1" applyFont="1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>
      <selection sqref="A1:G84"/>
    </sheetView>
  </sheetViews>
  <sheetFormatPr defaultColWidth="8.83203125" defaultRowHeight="12.75"/>
  <cols>
    <col min="1" max="1" width="6.83203125" style="23" customWidth="1"/>
    <col min="2" max="2" width="31" style="23" customWidth="1"/>
    <col min="3" max="3" width="31.83203125" style="23" customWidth="1"/>
    <col min="4" max="4" width="16.33203125" style="23" customWidth="1"/>
    <col min="5" max="5" width="18.33203125" style="23" customWidth="1"/>
    <col min="6" max="6" width="4.33203125" style="23" customWidth="1"/>
    <col min="7" max="253" width="9.33203125" style="23" customWidth="1"/>
    <col min="254" max="254" width="6.83203125" style="23" customWidth="1"/>
    <col min="255" max="255" width="31" style="23" customWidth="1"/>
    <col min="256" max="16384" width="8.83203125" style="23"/>
  </cols>
  <sheetData/>
  <phoneticPr fontId="19" type="noConversion"/>
  <pageMargins left="0.51181102362204722" right="0.23622047244094491" top="0.39370078740157483" bottom="0.39370078740157483" header="0.51181102362204722" footer="0.51181102362204722"/>
  <pageSetup paperSize="9" scale="93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topLeftCell="A47" zoomScale="90" zoomScaleNormal="100" zoomScaleSheetLayoutView="90" workbookViewId="0">
      <selection activeCell="D63" sqref="D63:D70"/>
    </sheetView>
  </sheetViews>
  <sheetFormatPr defaultRowHeight="12.75"/>
  <cols>
    <col min="1" max="1" width="49.1640625" customWidth="1"/>
    <col min="2" max="2" width="21" customWidth="1"/>
    <col min="3" max="3" width="14.5" customWidth="1"/>
    <col min="4" max="4" width="16" customWidth="1"/>
    <col min="5" max="5" width="7.83203125" customWidth="1"/>
    <col min="6" max="6" width="12.83203125" customWidth="1"/>
    <col min="7" max="7" width="15.83203125" customWidth="1"/>
    <col min="8" max="9" width="16.6640625" customWidth="1"/>
    <col min="10" max="10" width="16.83203125" customWidth="1"/>
    <col min="11" max="11" width="13.6640625" customWidth="1"/>
  </cols>
  <sheetData>
    <row r="1" spans="1:17">
      <c r="G1" t="s">
        <v>1</v>
      </c>
    </row>
    <row r="2" spans="1:17" ht="15.75">
      <c r="A2" s="12" t="s">
        <v>0</v>
      </c>
    </row>
    <row r="3" spans="1:17">
      <c r="A3" s="1"/>
    </row>
    <row r="4" spans="1:17">
      <c r="A4" s="11" t="s">
        <v>30</v>
      </c>
      <c r="G4" t="s">
        <v>18</v>
      </c>
    </row>
    <row r="5" spans="1:17">
      <c r="A5" s="1" t="s">
        <v>2</v>
      </c>
    </row>
    <row r="6" spans="1:17" ht="15">
      <c r="A6" s="24" t="s">
        <v>68</v>
      </c>
      <c r="B6" s="66" t="s">
        <v>73</v>
      </c>
      <c r="C6" s="66"/>
      <c r="D6" s="66"/>
      <c r="E6" s="61" t="s">
        <v>74</v>
      </c>
      <c r="F6" s="61"/>
      <c r="G6" s="61"/>
      <c r="H6" s="25"/>
      <c r="P6" s="26"/>
      <c r="Q6" s="27"/>
    </row>
    <row r="7" spans="1:17" ht="87" customHeight="1">
      <c r="A7" s="28"/>
      <c r="B7" s="29" t="s">
        <v>69</v>
      </c>
      <c r="C7" s="29" t="s">
        <v>70</v>
      </c>
      <c r="D7" s="29" t="s">
        <v>71</v>
      </c>
      <c r="E7" s="29" t="s">
        <v>69</v>
      </c>
      <c r="F7" s="29" t="s">
        <v>70</v>
      </c>
      <c r="G7" s="30" t="s">
        <v>71</v>
      </c>
      <c r="H7" s="30" t="s">
        <v>77</v>
      </c>
      <c r="I7" s="44" t="s">
        <v>75</v>
      </c>
      <c r="J7" s="44" t="s">
        <v>76</v>
      </c>
      <c r="P7" s="31"/>
      <c r="Q7" s="32"/>
    </row>
    <row r="8" spans="1:17" ht="15.75">
      <c r="A8" s="33"/>
      <c r="B8" s="34"/>
      <c r="C8" s="34"/>
      <c r="D8" s="34"/>
      <c r="E8" s="34"/>
      <c r="F8" s="34"/>
      <c r="G8" s="35"/>
      <c r="H8" s="43"/>
      <c r="I8" s="2"/>
      <c r="J8" s="2"/>
      <c r="P8" s="31"/>
      <c r="Q8" s="32"/>
    </row>
    <row r="9" spans="1:17" ht="15.75">
      <c r="A9" s="36" t="s">
        <v>72</v>
      </c>
      <c r="B9" s="3">
        <v>1</v>
      </c>
      <c r="C9" s="41">
        <v>21600</v>
      </c>
      <c r="D9" s="41">
        <f t="shared" ref="D9:D14" si="0">B9*C9*9*1.202</f>
        <v>233668.8</v>
      </c>
      <c r="E9" s="3">
        <v>1</v>
      </c>
      <c r="F9" s="41">
        <v>26000</v>
      </c>
      <c r="G9" s="37">
        <f>E9*F9*3*1.202</f>
        <v>93756</v>
      </c>
      <c r="H9" s="41">
        <f>B9*C9*8*1.202+B9*F9*4*1.202</f>
        <v>332713.59999999998</v>
      </c>
      <c r="I9" s="41">
        <f>B9*C9*12*1.202</f>
        <v>311558.39999999997</v>
      </c>
      <c r="J9" s="41">
        <f>I9</f>
        <v>311558.39999999997</v>
      </c>
      <c r="P9" s="31"/>
      <c r="Q9" s="31"/>
    </row>
    <row r="10" spans="1:17" ht="15.75">
      <c r="A10" s="36" t="s">
        <v>3</v>
      </c>
      <c r="B10" s="3">
        <v>1</v>
      </c>
      <c r="C10" s="41">
        <v>16200</v>
      </c>
      <c r="D10" s="41">
        <f t="shared" si="0"/>
        <v>175251.6</v>
      </c>
      <c r="E10" s="3">
        <v>1</v>
      </c>
      <c r="F10" s="41">
        <v>19000</v>
      </c>
      <c r="G10" s="37">
        <f>E10*F10*3*1.202</f>
        <v>68514</v>
      </c>
      <c r="H10" s="41">
        <f t="shared" ref="H10:H17" si="1">B10*C10*8*1.202+B10*F10*4*1.202</f>
        <v>247131.19999999998</v>
      </c>
      <c r="I10" s="41">
        <f t="shared" ref="I10:I17" si="2">B10*C10*12*1.202</f>
        <v>233668.8</v>
      </c>
      <c r="J10" s="41">
        <f>I10</f>
        <v>233668.8</v>
      </c>
      <c r="P10" s="31"/>
      <c r="Q10" s="31"/>
    </row>
    <row r="11" spans="1:17" ht="15.75">
      <c r="A11" s="36" t="s">
        <v>4</v>
      </c>
      <c r="B11" s="3">
        <v>1</v>
      </c>
      <c r="C11" s="41">
        <v>16200</v>
      </c>
      <c r="D11" s="41">
        <f t="shared" si="0"/>
        <v>175251.6</v>
      </c>
      <c r="E11" s="3">
        <v>1</v>
      </c>
      <c r="F11" s="41">
        <v>16200</v>
      </c>
      <c r="G11" s="37">
        <f>E11*F11*3*1.202</f>
        <v>58417.2</v>
      </c>
      <c r="H11" s="41">
        <f t="shared" si="1"/>
        <v>233668.8</v>
      </c>
      <c r="I11" s="41">
        <f t="shared" si="2"/>
        <v>233668.8</v>
      </c>
      <c r="J11" s="41">
        <f>I11</f>
        <v>233668.8</v>
      </c>
      <c r="P11" s="31"/>
      <c r="Q11" s="31"/>
    </row>
    <row r="12" spans="1:17" ht="15.75">
      <c r="A12" s="36" t="s">
        <v>5</v>
      </c>
      <c r="B12" s="3">
        <v>1</v>
      </c>
      <c r="C12" s="41">
        <v>12960</v>
      </c>
      <c r="D12" s="41">
        <f t="shared" si="0"/>
        <v>140201.28</v>
      </c>
      <c r="E12" s="3">
        <v>1</v>
      </c>
      <c r="F12" s="41">
        <v>12960</v>
      </c>
      <c r="G12" s="37">
        <f>E12*F12*3*1.202</f>
        <v>46733.759999999995</v>
      </c>
      <c r="H12" s="41">
        <f t="shared" si="1"/>
        <v>186935.04000000001</v>
      </c>
      <c r="I12" s="41">
        <f t="shared" si="2"/>
        <v>186935.03999999998</v>
      </c>
      <c r="J12" s="41">
        <f>I12</f>
        <v>186935.03999999998</v>
      </c>
      <c r="P12" s="31"/>
      <c r="Q12" s="31"/>
    </row>
    <row r="13" spans="1:17" ht="15.75">
      <c r="A13" s="36" t="s">
        <v>6</v>
      </c>
      <c r="B13" s="3">
        <v>1</v>
      </c>
      <c r="C13" s="41">
        <v>12960</v>
      </c>
      <c r="D13" s="41">
        <f t="shared" si="0"/>
        <v>140201.28</v>
      </c>
      <c r="E13" s="3">
        <v>1</v>
      </c>
      <c r="F13" s="41">
        <v>15000</v>
      </c>
      <c r="G13" s="37">
        <f>E13*F13*3*1.202</f>
        <v>54090</v>
      </c>
      <c r="H13" s="41">
        <f t="shared" si="1"/>
        <v>196743.36</v>
      </c>
      <c r="I13" s="41">
        <f t="shared" si="2"/>
        <v>186935.03999999998</v>
      </c>
      <c r="J13" s="41">
        <f>I13</f>
        <v>186935.03999999998</v>
      </c>
      <c r="P13" s="31"/>
      <c r="Q13" s="31"/>
    </row>
    <row r="14" spans="1:17" ht="15.75">
      <c r="A14" s="36" t="s">
        <v>7</v>
      </c>
      <c r="B14" s="38">
        <v>10</v>
      </c>
      <c r="C14" s="42">
        <v>10800</v>
      </c>
      <c r="D14" s="41">
        <f t="shared" si="0"/>
        <v>1168344</v>
      </c>
      <c r="E14" s="3"/>
      <c r="F14" s="41">
        <v>12500</v>
      </c>
      <c r="G14" s="37">
        <f>E14*F14*6*1.202</f>
        <v>0</v>
      </c>
      <c r="H14" s="41">
        <f t="shared" si="1"/>
        <v>1639528</v>
      </c>
      <c r="I14" s="41">
        <f t="shared" si="2"/>
        <v>1557792</v>
      </c>
      <c r="J14" s="41">
        <f>+D14</f>
        <v>1168344</v>
      </c>
      <c r="P14" s="31"/>
      <c r="Q14" s="31"/>
    </row>
    <row r="15" spans="1:17" ht="15.75">
      <c r="A15" s="36" t="s">
        <v>8</v>
      </c>
      <c r="B15" s="3">
        <v>2</v>
      </c>
      <c r="C15" s="41">
        <v>10800</v>
      </c>
      <c r="D15" s="41">
        <f>B15*C15*4*1.202</f>
        <v>103852.8</v>
      </c>
      <c r="E15" s="3"/>
      <c r="F15" s="41">
        <v>12500</v>
      </c>
      <c r="G15" s="37">
        <f>E15*F15*6*1.202</f>
        <v>0</v>
      </c>
      <c r="H15" s="41">
        <f>B15*C15*4*1.202</f>
        <v>103852.8</v>
      </c>
      <c r="I15" s="41">
        <f>B15*C15*4*1.202</f>
        <v>103852.8</v>
      </c>
      <c r="J15" s="41">
        <f>D15</f>
        <v>103852.8</v>
      </c>
      <c r="P15" s="31"/>
      <c r="Q15" s="31"/>
    </row>
    <row r="16" spans="1:17" ht="15.75">
      <c r="A16" s="36" t="s">
        <v>9</v>
      </c>
      <c r="B16" s="3">
        <v>2</v>
      </c>
      <c r="C16" s="41">
        <v>216</v>
      </c>
      <c r="D16" s="41">
        <f>B16*C16*9*1.202</f>
        <v>4673.3760000000002</v>
      </c>
      <c r="E16" s="3"/>
      <c r="F16" s="41">
        <v>250</v>
      </c>
      <c r="G16" s="37">
        <f>E16*F16*6*1.202</f>
        <v>0</v>
      </c>
      <c r="H16" s="41">
        <f t="shared" si="1"/>
        <v>6558.1120000000001</v>
      </c>
      <c r="I16" s="41">
        <f t="shared" si="2"/>
        <v>6231.1679999999997</v>
      </c>
      <c r="J16" s="41">
        <f>D16</f>
        <v>4673.3760000000002</v>
      </c>
      <c r="P16" s="31"/>
      <c r="Q16" s="31"/>
    </row>
    <row r="17" spans="1:18" ht="15.75">
      <c r="A17" s="36" t="s">
        <v>10</v>
      </c>
      <c r="B17" s="3">
        <v>1</v>
      </c>
      <c r="C17" s="41">
        <v>6480</v>
      </c>
      <c r="D17" s="41">
        <f>B17*C17*9*1.202</f>
        <v>70100.639999999999</v>
      </c>
      <c r="E17" s="3">
        <v>1</v>
      </c>
      <c r="F17" s="41">
        <v>7000</v>
      </c>
      <c r="G17" s="37">
        <f>E17*F17*3*1.202</f>
        <v>25242</v>
      </c>
      <c r="H17" s="41">
        <f t="shared" si="1"/>
        <v>95967.679999999993</v>
      </c>
      <c r="I17" s="41">
        <f t="shared" si="2"/>
        <v>93467.51999999999</v>
      </c>
      <c r="J17" s="41">
        <f>I17</f>
        <v>93467.51999999999</v>
      </c>
      <c r="P17" s="31"/>
      <c r="Q17" s="31"/>
    </row>
    <row r="18" spans="1:18" ht="15.75">
      <c r="A18" s="39" t="s">
        <v>11</v>
      </c>
      <c r="B18" s="3"/>
      <c r="C18" s="41"/>
      <c r="D18" s="52">
        <f>SUM(D9:D17)</f>
        <v>2211545.3760000002</v>
      </c>
      <c r="E18" s="50"/>
      <c r="F18" s="50"/>
      <c r="G18" s="51">
        <f>SUM(G9:G17)</f>
        <v>346752.96</v>
      </c>
      <c r="H18" s="51">
        <f>SUM(H9:H17)</f>
        <v>3043098.5920000002</v>
      </c>
      <c r="I18" s="51">
        <f>SUM(I9:I17)</f>
        <v>2914109.568</v>
      </c>
      <c r="J18" s="51">
        <f>SUM(J9:J17)</f>
        <v>2523103.7760000001</v>
      </c>
      <c r="P18" s="40"/>
      <c r="Q18" s="40"/>
      <c r="R18" s="40"/>
    </row>
    <row r="19" spans="1:18" ht="15.75">
      <c r="A19" s="45" t="s">
        <v>78</v>
      </c>
      <c r="B19" s="46" t="s">
        <v>79</v>
      </c>
      <c r="C19" s="47"/>
      <c r="D19" s="53"/>
      <c r="E19" s="46"/>
      <c r="G19" s="48"/>
      <c r="H19" s="49">
        <f>H18</f>
        <v>3043098.5920000002</v>
      </c>
      <c r="I19" s="48"/>
      <c r="J19" s="48"/>
      <c r="P19" s="40"/>
      <c r="Q19" s="40"/>
      <c r="R19" s="40"/>
    </row>
    <row r="20" spans="1:18" ht="15.75">
      <c r="A20" s="45"/>
      <c r="B20" s="46" t="s">
        <v>80</v>
      </c>
      <c r="C20" s="47"/>
      <c r="D20" s="53"/>
      <c r="E20" s="46"/>
      <c r="G20" s="48"/>
      <c r="H20" s="49">
        <f>D18+G18</f>
        <v>2558298.3360000001</v>
      </c>
      <c r="I20" s="48"/>
      <c r="J20" s="48"/>
      <c r="P20" s="40"/>
      <c r="Q20" s="40"/>
      <c r="R20" s="40"/>
    </row>
    <row r="21" spans="1:18" ht="15.75">
      <c r="A21" s="45"/>
      <c r="B21" s="46" t="s">
        <v>81</v>
      </c>
      <c r="C21" s="47"/>
      <c r="D21" s="53"/>
      <c r="E21" s="46"/>
      <c r="G21" s="48"/>
      <c r="H21" s="49">
        <f>J18</f>
        <v>2523103.7760000001</v>
      </c>
      <c r="I21" s="48"/>
      <c r="J21" s="48"/>
      <c r="P21" s="40"/>
      <c r="Q21" s="40"/>
      <c r="R21" s="40"/>
    </row>
    <row r="22" spans="1:18" ht="13.5">
      <c r="A22" s="6" t="s">
        <v>17</v>
      </c>
    </row>
    <row r="23" spans="1:18">
      <c r="A23" t="s">
        <v>16</v>
      </c>
    </row>
    <row r="24" spans="1:18">
      <c r="A24" t="s">
        <v>86</v>
      </c>
    </row>
    <row r="26" spans="1:18">
      <c r="A26" s="1" t="s">
        <v>19</v>
      </c>
      <c r="G26" t="s">
        <v>27</v>
      </c>
    </row>
    <row r="28" spans="1:18" ht="28.5">
      <c r="A28" s="14" t="s">
        <v>20</v>
      </c>
      <c r="B28" s="14" t="s">
        <v>21</v>
      </c>
      <c r="C28" s="14" t="s">
        <v>22</v>
      </c>
      <c r="D28" s="14" t="s">
        <v>82</v>
      </c>
      <c r="E28" s="65" t="s">
        <v>83</v>
      </c>
      <c r="F28" s="65"/>
    </row>
    <row r="29" spans="1:18" ht="15">
      <c r="A29" s="15" t="s">
        <v>24</v>
      </c>
      <c r="B29" s="15">
        <v>1</v>
      </c>
      <c r="C29" s="16">
        <v>1908</v>
      </c>
      <c r="D29" s="16">
        <f>C29*122</f>
        <v>232776</v>
      </c>
      <c r="E29" s="62" t="s">
        <v>84</v>
      </c>
      <c r="F29" s="63"/>
    </row>
    <row r="30" spans="1:18" ht="15">
      <c r="A30" s="15" t="s">
        <v>25</v>
      </c>
      <c r="B30" s="15">
        <v>2</v>
      </c>
      <c r="C30" s="16">
        <v>2000</v>
      </c>
      <c r="D30" s="16">
        <f>C30*92</f>
        <v>184000</v>
      </c>
      <c r="E30" s="62" t="s">
        <v>85</v>
      </c>
      <c r="F30" s="63"/>
    </row>
    <row r="31" spans="1:18" ht="15">
      <c r="A31" s="15" t="s">
        <v>26</v>
      </c>
      <c r="B31" s="15"/>
      <c r="C31" s="15"/>
      <c r="D31" s="17">
        <f>D29+D30</f>
        <v>416776</v>
      </c>
      <c r="E31" s="62"/>
      <c r="F31" s="63"/>
    </row>
    <row r="33" spans="1:10" ht="15.75">
      <c r="A33" s="45" t="s">
        <v>78</v>
      </c>
      <c r="B33" s="46" t="s">
        <v>79</v>
      </c>
      <c r="C33" s="47"/>
      <c r="D33" s="53"/>
      <c r="G33" t="s">
        <v>87</v>
      </c>
      <c r="I33" s="49">
        <f>H18</f>
        <v>3043098.5920000002</v>
      </c>
    </row>
    <row r="34" spans="1:10" ht="13.5" customHeight="1">
      <c r="A34" s="45"/>
      <c r="B34" s="46" t="s">
        <v>80</v>
      </c>
      <c r="C34" s="47"/>
      <c r="D34" s="53"/>
      <c r="G34" t="s">
        <v>88</v>
      </c>
      <c r="I34" s="49">
        <f>D18+G18+D31</f>
        <v>2975074.3360000001</v>
      </c>
    </row>
    <row r="35" spans="1:10" ht="15.75">
      <c r="A35" s="45"/>
      <c r="B35" s="46" t="s">
        <v>81</v>
      </c>
      <c r="C35" s="47"/>
      <c r="D35" s="53"/>
      <c r="G35" t="s">
        <v>89</v>
      </c>
      <c r="I35" s="49">
        <f>J18+D31</f>
        <v>2939879.7760000001</v>
      </c>
      <c r="J35" s="10"/>
    </row>
    <row r="36" spans="1:10">
      <c r="D36" s="10"/>
    </row>
    <row r="38" spans="1:10">
      <c r="A38" s="11" t="s">
        <v>31</v>
      </c>
      <c r="G38" t="s">
        <v>52</v>
      </c>
    </row>
    <row r="39" spans="1:10">
      <c r="A39" s="1" t="s">
        <v>53</v>
      </c>
    </row>
    <row r="40" spans="1:10">
      <c r="A40" s="1"/>
    </row>
    <row r="41" spans="1:10" ht="15.75">
      <c r="A41" s="69" t="s">
        <v>32</v>
      </c>
      <c r="B41" s="69"/>
      <c r="C41" s="70"/>
      <c r="D41" s="13" t="s">
        <v>50</v>
      </c>
    </row>
    <row r="42" spans="1:10" ht="15.75">
      <c r="A42" s="67" t="s">
        <v>33</v>
      </c>
      <c r="B42" s="67"/>
      <c r="C42" s="68"/>
      <c r="D42" s="55">
        <v>800000</v>
      </c>
      <c r="G42" s="1" t="s">
        <v>91</v>
      </c>
    </row>
    <row r="43" spans="1:10" ht="15.75">
      <c r="A43" s="67" t="s">
        <v>34</v>
      </c>
      <c r="B43" s="67"/>
      <c r="C43" s="68"/>
      <c r="D43" s="55">
        <v>20000</v>
      </c>
      <c r="G43" s="64" t="s">
        <v>95</v>
      </c>
      <c r="H43" s="64"/>
      <c r="I43" s="8">
        <v>190</v>
      </c>
    </row>
    <row r="44" spans="1:10" ht="15.75">
      <c r="A44" s="67" t="s">
        <v>35</v>
      </c>
      <c r="B44" s="67"/>
      <c r="C44" s="68"/>
      <c r="D44" s="55">
        <v>50000</v>
      </c>
      <c r="G44" s="64" t="s">
        <v>92</v>
      </c>
      <c r="H44" s="64"/>
      <c r="I44" s="8">
        <v>1500</v>
      </c>
    </row>
    <row r="45" spans="1:10" ht="15.75">
      <c r="A45" s="67" t="s">
        <v>36</v>
      </c>
      <c r="B45" s="67"/>
      <c r="C45" s="68"/>
      <c r="D45" s="55">
        <v>250000</v>
      </c>
      <c r="G45" s="64" t="s">
        <v>93</v>
      </c>
      <c r="H45" s="64"/>
      <c r="I45" s="8">
        <f>16000/61</f>
        <v>262.29508196721309</v>
      </c>
    </row>
    <row r="46" spans="1:10" ht="15.75">
      <c r="A46" s="67" t="s">
        <v>54</v>
      </c>
      <c r="B46" s="67"/>
      <c r="C46" s="68"/>
      <c r="D46" s="55">
        <v>60000</v>
      </c>
      <c r="G46" s="64" t="s">
        <v>94</v>
      </c>
      <c r="H46" s="64"/>
      <c r="I46" s="8">
        <f>I44*I45</f>
        <v>393442.62295081961</v>
      </c>
    </row>
    <row r="47" spans="1:10" ht="15.75">
      <c r="A47" s="67" t="s">
        <v>37</v>
      </c>
      <c r="B47" s="67"/>
      <c r="C47" s="68"/>
      <c r="D47" s="55">
        <v>25000</v>
      </c>
      <c r="G47" s="64" t="s">
        <v>96</v>
      </c>
      <c r="H47" s="64"/>
      <c r="I47" s="8">
        <f>I44*I43</f>
        <v>285000</v>
      </c>
    </row>
    <row r="48" spans="1:10" ht="15.75">
      <c r="A48" s="67" t="s">
        <v>38</v>
      </c>
      <c r="B48" s="67"/>
      <c r="C48" s="68"/>
      <c r="D48" s="55">
        <v>10000</v>
      </c>
      <c r="G48" s="64" t="s">
        <v>11</v>
      </c>
      <c r="H48" s="64"/>
      <c r="I48" s="8">
        <f>I46+I47</f>
        <v>678442.62295081955</v>
      </c>
    </row>
    <row r="49" spans="1:10" ht="15.75">
      <c r="A49" s="67" t="s">
        <v>39</v>
      </c>
      <c r="B49" s="67"/>
      <c r="C49" s="68"/>
      <c r="D49" s="55">
        <v>60000</v>
      </c>
      <c r="G49" s="64" t="s">
        <v>98</v>
      </c>
      <c r="H49" s="64"/>
      <c r="I49" s="8">
        <f>8*5*4000</f>
        <v>160000</v>
      </c>
      <c r="J49" s="54"/>
    </row>
    <row r="50" spans="1:10" ht="15.75">
      <c r="A50" s="67" t="s">
        <v>40</v>
      </c>
      <c r="B50" s="67"/>
      <c r="C50" s="68"/>
      <c r="D50" s="55">
        <v>24000</v>
      </c>
      <c r="G50" s="76" t="s">
        <v>97</v>
      </c>
      <c r="H50" s="76"/>
      <c r="I50" s="9">
        <f>I48+I49</f>
        <v>838442.62295081955</v>
      </c>
    </row>
    <row r="51" spans="1:10" ht="15.75">
      <c r="A51" s="67" t="s">
        <v>41</v>
      </c>
      <c r="B51" s="67"/>
      <c r="C51" s="68"/>
      <c r="D51" s="55">
        <v>60000</v>
      </c>
    </row>
    <row r="52" spans="1:10" ht="15.75">
      <c r="A52" s="67" t="s">
        <v>42</v>
      </c>
      <c r="B52" s="67"/>
      <c r="C52" s="68"/>
      <c r="D52" s="55">
        <v>10000</v>
      </c>
    </row>
    <row r="53" spans="1:10" ht="15.75">
      <c r="A53" s="67" t="s">
        <v>43</v>
      </c>
      <c r="B53" s="67"/>
      <c r="C53" s="68"/>
      <c r="D53" s="55">
        <v>22000</v>
      </c>
    </row>
    <row r="54" spans="1:10" ht="15.75">
      <c r="A54" s="67" t="s">
        <v>44</v>
      </c>
      <c r="B54" s="67"/>
      <c r="C54" s="68"/>
      <c r="D54" s="55">
        <v>120000</v>
      </c>
    </row>
    <row r="55" spans="1:10" ht="15.75">
      <c r="A55" s="67" t="s">
        <v>45</v>
      </c>
      <c r="B55" s="67"/>
      <c r="C55" s="68"/>
      <c r="D55" s="55">
        <v>35000</v>
      </c>
    </row>
    <row r="56" spans="1:10" ht="15.75">
      <c r="A56" s="67" t="s">
        <v>46</v>
      </c>
      <c r="B56" s="67"/>
      <c r="C56" s="68"/>
      <c r="D56" s="55">
        <v>26000</v>
      </c>
    </row>
    <row r="57" spans="1:10" ht="15.75">
      <c r="A57" s="67" t="s">
        <v>47</v>
      </c>
      <c r="B57" s="67"/>
      <c r="C57" s="68"/>
      <c r="D57" s="55">
        <v>525000</v>
      </c>
    </row>
    <row r="58" spans="1:10" ht="15.75">
      <c r="A58" s="67" t="s">
        <v>48</v>
      </c>
      <c r="B58" s="67"/>
      <c r="C58" s="68"/>
      <c r="D58" s="8">
        <v>50000</v>
      </c>
    </row>
    <row r="59" spans="1:10" ht="15.75">
      <c r="A59" s="67" t="s">
        <v>49</v>
      </c>
      <c r="B59" s="67"/>
      <c r="C59" s="68"/>
      <c r="D59" s="8">
        <v>250000</v>
      </c>
    </row>
    <row r="60" spans="1:10" ht="15.75">
      <c r="A60" s="72" t="s">
        <v>51</v>
      </c>
      <c r="B60" s="73"/>
      <c r="C60" s="74"/>
      <c r="D60" s="9">
        <f>SUM(D42:D59)</f>
        <v>2397000</v>
      </c>
    </row>
    <row r="62" spans="1:10">
      <c r="B62" s="18" t="s">
        <v>28</v>
      </c>
      <c r="C62" s="18" t="s">
        <v>29</v>
      </c>
      <c r="D62" s="18" t="s">
        <v>90</v>
      </c>
      <c r="G62" t="s">
        <v>61</v>
      </c>
    </row>
    <row r="63" spans="1:10" ht="15.75">
      <c r="A63" s="19" t="s">
        <v>55</v>
      </c>
      <c r="B63" s="8">
        <f>I33+D60</f>
        <v>5440098.5920000002</v>
      </c>
      <c r="C63" s="56">
        <f>I34+D60</f>
        <v>5372074.3360000001</v>
      </c>
      <c r="D63" s="8">
        <f>I35+D60</f>
        <v>5336879.7760000005</v>
      </c>
    </row>
    <row r="64" spans="1:10" ht="24.75" customHeight="1">
      <c r="A64" s="19" t="s">
        <v>56</v>
      </c>
      <c r="B64" s="8">
        <f>ROUNDUP((B63*5%),0)</f>
        <v>272005</v>
      </c>
      <c r="C64" s="56">
        <f>ROUNDUP((C63*5%),0)</f>
        <v>268604</v>
      </c>
      <c r="D64" s="8">
        <f>ROUNDUP((D63*5%),0)</f>
        <v>266844</v>
      </c>
    </row>
    <row r="65" spans="1:5" ht="24" customHeight="1">
      <c r="A65" s="19" t="s">
        <v>57</v>
      </c>
      <c r="B65" s="8">
        <f>B63+B64</f>
        <v>5712103.5920000002</v>
      </c>
      <c r="C65" s="56">
        <f>C63+C64</f>
        <v>5640678.3360000001</v>
      </c>
      <c r="D65" s="8">
        <f>D63+D64</f>
        <v>5603723.7760000005</v>
      </c>
    </row>
    <row r="66" spans="1:5" ht="15.75">
      <c r="A66" s="19" t="s">
        <v>58</v>
      </c>
      <c r="B66" s="8">
        <v>23000</v>
      </c>
      <c r="C66" s="56"/>
      <c r="D66" s="2"/>
    </row>
    <row r="67" spans="1:5" ht="15.75">
      <c r="A67" s="19" t="s">
        <v>59</v>
      </c>
      <c r="B67" s="8">
        <v>455000</v>
      </c>
      <c r="C67" s="56">
        <v>455000</v>
      </c>
      <c r="D67" s="8">
        <v>455000</v>
      </c>
    </row>
    <row r="68" spans="1:5" ht="38.25" customHeight="1">
      <c r="A68" s="20" t="s">
        <v>60</v>
      </c>
      <c r="B68" s="9">
        <f>B65+B66+B67</f>
        <v>6190103.5920000002</v>
      </c>
      <c r="C68" s="57">
        <f>C65+C66+C67</f>
        <v>6095678.3360000001</v>
      </c>
      <c r="D68" s="9">
        <f>D65+D66+D67</f>
        <v>6058723.7760000005</v>
      </c>
    </row>
    <row r="69" spans="1:5" ht="15.75">
      <c r="A69" s="22" t="s">
        <v>65</v>
      </c>
      <c r="B69" s="9">
        <v>867</v>
      </c>
      <c r="C69" s="57">
        <v>867</v>
      </c>
      <c r="D69" s="2">
        <v>867</v>
      </c>
    </row>
    <row r="70" spans="1:5" ht="15.75">
      <c r="A70" s="22" t="s">
        <v>66</v>
      </c>
      <c r="B70" s="9">
        <f>B68/B69</f>
        <v>7139.6811903114185</v>
      </c>
      <c r="C70" s="57">
        <f>C68/C69</f>
        <v>7030.7708604382933</v>
      </c>
      <c r="D70" s="9">
        <f>D68/D69</f>
        <v>6988.1473771626306</v>
      </c>
    </row>
    <row r="72" spans="1:5" ht="18.75">
      <c r="A72" s="12" t="s">
        <v>105</v>
      </c>
      <c r="B72" s="58"/>
      <c r="C72" s="58"/>
      <c r="D72" s="58">
        <v>7050</v>
      </c>
      <c r="E72" t="s">
        <v>106</v>
      </c>
    </row>
    <row r="73" spans="1:5" ht="15.75">
      <c r="A73" s="12"/>
      <c r="B73" s="12"/>
      <c r="C73" s="12"/>
      <c r="D73" s="12"/>
    </row>
    <row r="74" spans="1:5" ht="21" customHeight="1">
      <c r="A74" s="75" t="s">
        <v>62</v>
      </c>
      <c r="B74" s="75"/>
      <c r="C74" s="75"/>
      <c r="D74" s="75"/>
    </row>
    <row r="75" spans="1:5" ht="15">
      <c r="A75" s="71" t="s">
        <v>63</v>
      </c>
      <c r="B75" s="71"/>
      <c r="C75" s="71"/>
      <c r="D75" s="71"/>
      <c r="E75" s="8">
        <v>0</v>
      </c>
    </row>
    <row r="76" spans="1:5" ht="33" customHeight="1">
      <c r="A76" s="71" t="s">
        <v>64</v>
      </c>
      <c r="B76" s="71"/>
      <c r="C76" s="71"/>
      <c r="D76" s="71"/>
      <c r="E76" s="8">
        <v>0</v>
      </c>
    </row>
  </sheetData>
  <mergeCells count="37">
    <mergeCell ref="G49:H49"/>
    <mergeCell ref="G50:H50"/>
    <mergeCell ref="G44:H44"/>
    <mergeCell ref="G45:H45"/>
    <mergeCell ref="G46:H46"/>
    <mergeCell ref="G47:H47"/>
    <mergeCell ref="G48:H48"/>
    <mergeCell ref="A55:C55"/>
    <mergeCell ref="A44:C44"/>
    <mergeCell ref="A45:C45"/>
    <mergeCell ref="A46:C46"/>
    <mergeCell ref="A47:C47"/>
    <mergeCell ref="A48:C48"/>
    <mergeCell ref="A54:C54"/>
    <mergeCell ref="A52:C52"/>
    <mergeCell ref="A53:C53"/>
    <mergeCell ref="A75:D75"/>
    <mergeCell ref="A76:D76"/>
    <mergeCell ref="A56:C56"/>
    <mergeCell ref="A57:C57"/>
    <mergeCell ref="A58:C58"/>
    <mergeCell ref="A59:C59"/>
    <mergeCell ref="A60:C60"/>
    <mergeCell ref="A74:D74"/>
    <mergeCell ref="B6:D6"/>
    <mergeCell ref="A49:C49"/>
    <mergeCell ref="A50:C50"/>
    <mergeCell ref="A51:C51"/>
    <mergeCell ref="A43:C43"/>
    <mergeCell ref="A41:C41"/>
    <mergeCell ref="A42:C42"/>
    <mergeCell ref="E6:G6"/>
    <mergeCell ref="E30:F30"/>
    <mergeCell ref="E31:F31"/>
    <mergeCell ref="G43:H43"/>
    <mergeCell ref="E28:F28"/>
    <mergeCell ref="E29:F29"/>
  </mergeCells>
  <phoneticPr fontId="19" type="noConversion"/>
  <pageMargins left="0.31496062992125984" right="0.31496062992125984" top="0.55118110236220474" bottom="0.35433070866141736" header="0.31496062992125984" footer="0.31496062992125984"/>
  <pageSetup paperSize="9" scale="78" orientation="landscape" r:id="rId1"/>
  <rowBreaks count="2" manualBreakCount="2">
    <brk id="37" max="16383" man="1"/>
    <brk id="7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opLeftCell="A43" workbookViewId="0">
      <selection activeCell="E64" sqref="E64"/>
    </sheetView>
  </sheetViews>
  <sheetFormatPr defaultRowHeight="12.75"/>
  <cols>
    <col min="1" max="1" width="32.6640625" customWidth="1"/>
    <col min="2" max="2" width="14" customWidth="1"/>
    <col min="3" max="3" width="13.83203125" customWidth="1"/>
    <col min="4" max="4" width="24.1640625" customWidth="1"/>
    <col min="5" max="5" width="17.6640625" customWidth="1"/>
    <col min="6" max="6" width="16.5" customWidth="1"/>
  </cols>
  <sheetData>
    <row r="1" spans="1:5">
      <c r="E1" t="s">
        <v>1</v>
      </c>
    </row>
    <row r="2" spans="1:5" ht="15.75">
      <c r="A2" s="12" t="s">
        <v>67</v>
      </c>
    </row>
    <row r="3" spans="1:5">
      <c r="A3" s="11" t="s">
        <v>30</v>
      </c>
      <c r="E3" t="s">
        <v>18</v>
      </c>
    </row>
    <row r="4" spans="1:5">
      <c r="A4" s="1" t="s">
        <v>99</v>
      </c>
    </row>
    <row r="5" spans="1:5" ht="25.5">
      <c r="A5" s="5"/>
      <c r="B5" s="5" t="s">
        <v>13</v>
      </c>
      <c r="C5" s="5" t="s">
        <v>14</v>
      </c>
      <c r="D5" s="5" t="s">
        <v>15</v>
      </c>
    </row>
    <row r="6" spans="1:5" ht="15.75">
      <c r="A6" s="3" t="s">
        <v>12</v>
      </c>
      <c r="B6" s="7">
        <v>1</v>
      </c>
      <c r="C6" s="8">
        <v>26000</v>
      </c>
      <c r="D6" s="8">
        <f t="shared" ref="D6:D11" si="0">B6*C6*12*1.202</f>
        <v>375024</v>
      </c>
    </row>
    <row r="7" spans="1:5" ht="15.75">
      <c r="A7" s="3" t="s">
        <v>3</v>
      </c>
      <c r="B7" s="7">
        <v>1</v>
      </c>
      <c r="C7" s="8">
        <v>19000</v>
      </c>
      <c r="D7" s="8">
        <f t="shared" si="0"/>
        <v>274056</v>
      </c>
    </row>
    <row r="8" spans="1:5" ht="15.75">
      <c r="A8" s="3" t="s">
        <v>4</v>
      </c>
      <c r="B8" s="7">
        <v>1</v>
      </c>
      <c r="C8" s="8">
        <v>16200</v>
      </c>
      <c r="D8" s="8">
        <f t="shared" si="0"/>
        <v>233668.8</v>
      </c>
    </row>
    <row r="9" spans="1:5" ht="15.75">
      <c r="A9" s="3" t="s">
        <v>5</v>
      </c>
      <c r="B9" s="7">
        <v>1</v>
      </c>
      <c r="C9" s="8">
        <v>12960</v>
      </c>
      <c r="D9" s="8">
        <f t="shared" si="0"/>
        <v>186935.03999999998</v>
      </c>
    </row>
    <row r="10" spans="1:5" ht="15.75">
      <c r="A10" s="3" t="s">
        <v>6</v>
      </c>
      <c r="B10" s="7">
        <v>1</v>
      </c>
      <c r="C10" s="8">
        <v>15000</v>
      </c>
      <c r="D10" s="8">
        <f t="shared" si="0"/>
        <v>216360</v>
      </c>
    </row>
    <row r="11" spans="1:5" ht="15.75">
      <c r="A11" s="3" t="s">
        <v>10</v>
      </c>
      <c r="B11" s="7">
        <v>1</v>
      </c>
      <c r="C11" s="8">
        <v>7000</v>
      </c>
      <c r="D11" s="8">
        <f t="shared" si="0"/>
        <v>100968</v>
      </c>
    </row>
    <row r="12" spans="1:5" ht="15.75">
      <c r="A12" s="4" t="s">
        <v>11</v>
      </c>
      <c r="B12" s="2"/>
      <c r="C12" s="2"/>
      <c r="D12" s="9">
        <f>SUM(D6:D11)</f>
        <v>1387011.84</v>
      </c>
    </row>
    <row r="14" spans="1:5" ht="13.5">
      <c r="A14" s="6" t="s">
        <v>17</v>
      </c>
    </row>
    <row r="15" spans="1:5">
      <c r="A15" t="s">
        <v>16</v>
      </c>
    </row>
    <row r="17" spans="1:5">
      <c r="A17" s="1" t="s">
        <v>19</v>
      </c>
      <c r="E17" t="s">
        <v>27</v>
      </c>
    </row>
    <row r="19" spans="1:5" ht="28.5">
      <c r="A19" s="14" t="s">
        <v>20</v>
      </c>
      <c r="B19" s="14" t="s">
        <v>21</v>
      </c>
      <c r="C19" s="14" t="s">
        <v>22</v>
      </c>
      <c r="D19" s="14" t="s">
        <v>23</v>
      </c>
    </row>
    <row r="20" spans="1:5" ht="30">
      <c r="A20" s="15" t="s">
        <v>24</v>
      </c>
      <c r="B20" s="15">
        <v>1</v>
      </c>
      <c r="C20" s="16">
        <v>1908</v>
      </c>
      <c r="D20" s="16">
        <f>C20*B20*365</f>
        <v>696420</v>
      </c>
    </row>
    <row r="21" spans="1:5" ht="15">
      <c r="A21" s="15" t="s">
        <v>25</v>
      </c>
      <c r="B21" s="15">
        <v>2</v>
      </c>
      <c r="C21" s="16">
        <v>2000</v>
      </c>
      <c r="D21" s="16">
        <f>C21*B21*365</f>
        <v>1460000</v>
      </c>
    </row>
    <row r="22" spans="1:5" ht="15">
      <c r="A22" s="15" t="s">
        <v>26</v>
      </c>
      <c r="B22" s="15"/>
      <c r="C22" s="15"/>
      <c r="D22" s="17">
        <f>D20+D21</f>
        <v>2156420</v>
      </c>
    </row>
    <row r="24" spans="1:5" ht="15.75">
      <c r="A24" t="s">
        <v>100</v>
      </c>
      <c r="D24" s="59">
        <f>D22+D12</f>
        <v>3543431.84</v>
      </c>
    </row>
    <row r="26" spans="1:5">
      <c r="A26" s="11" t="s">
        <v>31</v>
      </c>
      <c r="E26" t="s">
        <v>52</v>
      </c>
    </row>
    <row r="27" spans="1:5">
      <c r="A27" s="1" t="s">
        <v>53</v>
      </c>
    </row>
    <row r="28" spans="1:5">
      <c r="A28" s="1"/>
    </row>
    <row r="29" spans="1:5" ht="15.75">
      <c r="A29" s="69" t="s">
        <v>32</v>
      </c>
      <c r="B29" s="69"/>
      <c r="C29" s="70"/>
      <c r="D29" s="13" t="s">
        <v>101</v>
      </c>
    </row>
    <row r="30" spans="1:5" ht="15.75">
      <c r="A30" s="67" t="s">
        <v>33</v>
      </c>
      <c r="B30" s="67"/>
      <c r="C30" s="68"/>
      <c r="D30" s="8">
        <v>880000</v>
      </c>
    </row>
    <row r="31" spans="1:5" ht="15.75">
      <c r="A31" s="67" t="s">
        <v>35</v>
      </c>
      <c r="B31" s="67"/>
      <c r="C31" s="68"/>
      <c r="D31" s="8">
        <v>50000</v>
      </c>
    </row>
    <row r="32" spans="1:5" ht="15.75">
      <c r="A32" s="67" t="s">
        <v>36</v>
      </c>
      <c r="B32" s="67"/>
      <c r="C32" s="68"/>
      <c r="D32" s="8">
        <f>250000*1.05</f>
        <v>262500</v>
      </c>
    </row>
    <row r="33" spans="1:4" ht="15.75">
      <c r="A33" s="67" t="s">
        <v>54</v>
      </c>
      <c r="B33" s="67"/>
      <c r="C33" s="68"/>
      <c r="D33" s="8">
        <v>65000</v>
      </c>
    </row>
    <row r="34" spans="1:4" ht="29.25" customHeight="1">
      <c r="A34" s="67" t="s">
        <v>37</v>
      </c>
      <c r="B34" s="67"/>
      <c r="C34" s="68"/>
      <c r="D34" s="8">
        <v>25000</v>
      </c>
    </row>
    <row r="35" spans="1:4" ht="15.75">
      <c r="A35" s="67" t="s">
        <v>38</v>
      </c>
      <c r="B35" s="67"/>
      <c r="C35" s="68"/>
      <c r="D35" s="8">
        <v>10000</v>
      </c>
    </row>
    <row r="36" spans="1:4" ht="15.75">
      <c r="A36" s="67" t="s">
        <v>39</v>
      </c>
      <c r="B36" s="67"/>
      <c r="C36" s="68"/>
      <c r="D36" s="8">
        <v>60000</v>
      </c>
    </row>
    <row r="37" spans="1:4" ht="15.75">
      <c r="A37" s="67" t="s">
        <v>40</v>
      </c>
      <c r="B37" s="67"/>
      <c r="C37" s="68"/>
      <c r="D37" s="8">
        <v>24000</v>
      </c>
    </row>
    <row r="38" spans="1:4" ht="15.75">
      <c r="A38" s="67" t="s">
        <v>41</v>
      </c>
      <c r="B38" s="67"/>
      <c r="C38" s="68"/>
      <c r="D38" s="8">
        <v>60000</v>
      </c>
    </row>
    <row r="39" spans="1:4" ht="15.75">
      <c r="A39" s="67" t="s">
        <v>42</v>
      </c>
      <c r="B39" s="67"/>
      <c r="C39" s="68"/>
      <c r="D39" s="8">
        <v>10000</v>
      </c>
    </row>
    <row r="40" spans="1:4" ht="15.75">
      <c r="A40" s="67" t="s">
        <v>43</v>
      </c>
      <c r="B40" s="67"/>
      <c r="C40" s="68"/>
      <c r="D40" s="8">
        <v>22000</v>
      </c>
    </row>
    <row r="41" spans="1:4" ht="15.75">
      <c r="A41" s="67" t="s">
        <v>44</v>
      </c>
      <c r="B41" s="67"/>
      <c r="C41" s="68"/>
      <c r="D41" s="8">
        <v>130000</v>
      </c>
    </row>
    <row r="42" spans="1:4" ht="15.75">
      <c r="A42" s="67" t="s">
        <v>45</v>
      </c>
      <c r="B42" s="67"/>
      <c r="C42" s="68"/>
      <c r="D42" s="8">
        <v>35000</v>
      </c>
    </row>
    <row r="43" spans="1:4" ht="15.75">
      <c r="A43" s="67" t="s">
        <v>46</v>
      </c>
      <c r="B43" s="67"/>
      <c r="C43" s="68"/>
      <c r="D43" s="8">
        <v>26000</v>
      </c>
    </row>
    <row r="44" spans="1:4" ht="15.75">
      <c r="A44" s="67" t="s">
        <v>47</v>
      </c>
      <c r="B44" s="67"/>
      <c r="C44" s="68"/>
      <c r="D44" s="8">
        <v>50000</v>
      </c>
    </row>
    <row r="45" spans="1:4" ht="15.75">
      <c r="A45" s="77" t="s">
        <v>102</v>
      </c>
      <c r="B45" s="67"/>
      <c r="C45" s="68"/>
      <c r="D45" s="8">
        <v>80000</v>
      </c>
    </row>
    <row r="46" spans="1:4" ht="15.75">
      <c r="A46" s="67" t="s">
        <v>48</v>
      </c>
      <c r="B46" s="67"/>
      <c r="C46" s="68"/>
      <c r="D46" s="8">
        <v>50000</v>
      </c>
    </row>
    <row r="47" spans="1:4" ht="15.75">
      <c r="A47" s="67" t="s">
        <v>49</v>
      </c>
      <c r="B47" s="67"/>
      <c r="C47" s="68"/>
      <c r="D47" s="8">
        <v>250000</v>
      </c>
    </row>
    <row r="48" spans="1:4" ht="15.75">
      <c r="A48" s="72" t="s">
        <v>51</v>
      </c>
      <c r="B48" s="73"/>
      <c r="C48" s="74"/>
      <c r="D48" s="9">
        <f>SUM(D30:D47)</f>
        <v>2089500</v>
      </c>
    </row>
    <row r="50" spans="1:5">
      <c r="B50" s="18"/>
      <c r="C50" s="18"/>
      <c r="E50" t="s">
        <v>61</v>
      </c>
    </row>
    <row r="51" spans="1:5" ht="15.75">
      <c r="A51" s="19" t="s">
        <v>55</v>
      </c>
      <c r="B51" s="8">
        <f>D48+D24</f>
        <v>5632931.8399999999</v>
      </c>
      <c r="C51" s="18"/>
    </row>
    <row r="52" spans="1:5" ht="31.5">
      <c r="A52" s="19" t="s">
        <v>56</v>
      </c>
      <c r="B52" s="8">
        <f>ROUNDUP((B51*5%),0)+3</f>
        <v>281650</v>
      </c>
      <c r="C52" s="18"/>
    </row>
    <row r="53" spans="1:5" ht="31.5">
      <c r="A53" s="19" t="s">
        <v>57</v>
      </c>
      <c r="B53" s="8">
        <f>B51+B52</f>
        <v>5914581.8399999999</v>
      </c>
      <c r="C53" s="18"/>
    </row>
    <row r="54" spans="1:5" ht="15.75">
      <c r="A54" s="19" t="s">
        <v>59</v>
      </c>
      <c r="B54" s="8">
        <v>455000</v>
      </c>
      <c r="C54" s="18"/>
    </row>
    <row r="55" spans="1:5" ht="63">
      <c r="A55" s="20" t="s">
        <v>60</v>
      </c>
      <c r="B55" s="9">
        <f>B51+B52+B54</f>
        <v>6369581.8399999999</v>
      </c>
      <c r="C55" s="18"/>
    </row>
    <row r="56" spans="1:5" ht="15.75">
      <c r="A56" s="22" t="s">
        <v>65</v>
      </c>
      <c r="B56" s="9">
        <v>867</v>
      </c>
      <c r="C56" s="18"/>
    </row>
    <row r="57" spans="1:5" ht="15.75">
      <c r="A57" s="22" t="s">
        <v>66</v>
      </c>
      <c r="B57" s="9">
        <f>B55/B56</f>
        <v>7346.6918569780855</v>
      </c>
      <c r="C57" s="18"/>
    </row>
    <row r="59" spans="1:5" ht="18.75">
      <c r="A59" s="12" t="s">
        <v>105</v>
      </c>
      <c r="B59" s="58"/>
      <c r="C59" s="58"/>
      <c r="D59" s="58">
        <v>7350</v>
      </c>
    </row>
    <row r="60" spans="1:5" ht="15.75">
      <c r="A60" s="21" t="s">
        <v>103</v>
      </c>
      <c r="D60" s="60" t="s">
        <v>104</v>
      </c>
    </row>
    <row r="62" spans="1:5" ht="15.75">
      <c r="A62" s="75" t="s">
        <v>62</v>
      </c>
      <c r="B62" s="75"/>
      <c r="C62" s="75"/>
      <c r="D62" s="75"/>
      <c r="E62">
        <v>3500</v>
      </c>
    </row>
    <row r="63" spans="1:5" ht="15">
      <c r="A63" s="71" t="s">
        <v>63</v>
      </c>
      <c r="B63" s="71"/>
      <c r="C63" s="71"/>
      <c r="D63" s="71"/>
      <c r="E63">
        <v>2500</v>
      </c>
    </row>
    <row r="64" spans="1:5" ht="35.25" customHeight="1">
      <c r="A64" s="71" t="s">
        <v>64</v>
      </c>
      <c r="B64" s="71"/>
      <c r="C64" s="71"/>
      <c r="D64" s="71"/>
    </row>
  </sheetData>
  <mergeCells count="23">
    <mergeCell ref="A64:D64"/>
    <mergeCell ref="A45:C45"/>
    <mergeCell ref="A43:C43"/>
    <mergeCell ref="A44:C44"/>
    <mergeCell ref="A46:C46"/>
    <mergeCell ref="A47:C47"/>
    <mergeCell ref="A48:C48"/>
    <mergeCell ref="A63:D63"/>
    <mergeCell ref="A62:D62"/>
    <mergeCell ref="A42:C42"/>
    <mergeCell ref="A36:C36"/>
    <mergeCell ref="A37:C37"/>
    <mergeCell ref="A38:C38"/>
    <mergeCell ref="A39:C39"/>
    <mergeCell ref="A40:C40"/>
    <mergeCell ref="A41:C41"/>
    <mergeCell ref="A34:C34"/>
    <mergeCell ref="A33:C33"/>
    <mergeCell ref="A35:C35"/>
    <mergeCell ref="A29:C29"/>
    <mergeCell ref="A30:C30"/>
    <mergeCell ref="A31:C31"/>
    <mergeCell ref="A32:C32"/>
  </mergeCells>
  <phoneticPr fontId="19" type="noConversion"/>
  <pageMargins left="0.41" right="0.2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view="pageBreakPreview" zoomScale="60" zoomScaleNormal="100" workbookViewId="0">
      <selection sqref="A1:B1"/>
    </sheetView>
  </sheetViews>
  <sheetFormatPr defaultRowHeight="12.75"/>
  <cols>
    <col min="2" max="2" width="68" customWidth="1"/>
    <col min="3" max="3" width="8.83203125" customWidth="1"/>
  </cols>
  <sheetData>
    <row r="1" spans="1:5" s="1" customFormat="1" ht="28.5" customHeight="1" thickBot="1">
      <c r="A1" s="78"/>
      <c r="B1" s="78"/>
      <c r="C1" s="79"/>
      <c r="D1" s="80"/>
      <c r="E1" s="81"/>
    </row>
  </sheetData>
  <mergeCells count="2">
    <mergeCell ref="A1:B1"/>
    <mergeCell ref="C1:E1"/>
  </mergeCells>
  <phoneticPr fontId="19" type="noConversion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смета 2016</vt:lpstr>
      <vt:lpstr>смета 2017</vt:lpstr>
      <vt:lpstr>2</vt:lpstr>
      <vt:lpstr>Лист4</vt:lpstr>
      <vt:lpstr>'смета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Щеглова Наталия</dc:creator>
  <cp:lastModifiedBy>s</cp:lastModifiedBy>
  <cp:lastPrinted>2016-08-12T15:22:32Z</cp:lastPrinted>
  <dcterms:created xsi:type="dcterms:W3CDTF">2016-06-27T12:30:52Z</dcterms:created>
  <dcterms:modified xsi:type="dcterms:W3CDTF">2016-08-12T15:23:55Z</dcterms:modified>
</cp:coreProperties>
</file>